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70" yWindow="105" windowWidth="16110" windowHeight="12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<sst xmlns="http://schemas.openxmlformats.org/spreadsheetml/2006/main" count="75" uniqueCount="70">
  <si>
    <t>PN10  SDR11 / S5</t>
  </si>
  <si>
    <t>PN16  SDR7,4 / S3,2</t>
  </si>
  <si>
    <t>PN20  SDR6,0 / S2,5</t>
  </si>
  <si>
    <t>Fazer  SDR7,4 / S2,5</t>
  </si>
  <si>
    <t>Fazer  SDR6,0 / S2,0</t>
  </si>
  <si>
    <t>Beta PPR  SDR9 / S4</t>
  </si>
  <si>
    <t>Beta PPR  SDR7,4 / S3,2</t>
  </si>
  <si>
    <t>Beta Fazer SDR9 / S4</t>
  </si>
  <si>
    <t>Beta Fazer SDR7,4 / S3,2</t>
  </si>
  <si>
    <t>D16</t>
  </si>
  <si>
    <t>D20</t>
  </si>
  <si>
    <t>D25</t>
  </si>
  <si>
    <t>D32</t>
  </si>
  <si>
    <t>D40</t>
  </si>
  <si>
    <t>D50</t>
  </si>
  <si>
    <t>D63</t>
  </si>
  <si>
    <t>D75</t>
  </si>
  <si>
    <t>D90</t>
  </si>
  <si>
    <t>D110</t>
  </si>
  <si>
    <t>D125</t>
  </si>
  <si>
    <t>d nom</t>
  </si>
  <si>
    <t>∆d</t>
  </si>
  <si>
    <t>stenka</t>
  </si>
  <si>
    <t>∆stenka</t>
  </si>
  <si>
    <t>Dср mm</t>
  </si>
  <si>
    <t>Dср m</t>
  </si>
  <si>
    <r>
      <t>20</t>
    </r>
    <r>
      <rPr>
        <sz val="11"/>
        <color indexed="8"/>
        <rFont val="Calibri"/>
        <family val="2"/>
      </rPr>
      <t>°C</t>
    </r>
  </si>
  <si>
    <t>30°C</t>
  </si>
  <si>
    <t>40°C</t>
  </si>
  <si>
    <t>45°C</t>
  </si>
  <si>
    <t>50°C</t>
  </si>
  <si>
    <t>55°C</t>
  </si>
  <si>
    <t>60°C</t>
  </si>
  <si>
    <t>65°C</t>
  </si>
  <si>
    <t>70°C</t>
  </si>
  <si>
    <t>80°C</t>
  </si>
  <si>
    <t>90°C</t>
  </si>
  <si>
    <t>Кинитическая вязкость</t>
  </si>
  <si>
    <t>литр/сек</t>
  </si>
  <si>
    <t>литр/мин</t>
  </si>
  <si>
    <t>литр/час</t>
  </si>
  <si>
    <t>кг/час</t>
  </si>
  <si>
    <t>шероховатость</t>
  </si>
  <si>
    <t>фактическое число Рейнольдса Ref</t>
  </si>
  <si>
    <t>число Рейнольдса Rekb</t>
  </si>
  <si>
    <t xml:space="preserve">Число подобия режимов течения воды b </t>
  </si>
  <si>
    <r>
      <t>м</t>
    </r>
    <r>
      <rPr>
        <sz val="10"/>
        <color indexed="8"/>
        <rFont val="Calibri"/>
        <family val="2"/>
      </rPr>
      <t>³</t>
    </r>
    <r>
      <rPr>
        <sz val="10"/>
        <color indexed="8"/>
        <rFont val="Calibri"/>
        <family val="2"/>
      </rPr>
      <t>/час</t>
    </r>
  </si>
  <si>
    <t>1.</t>
  </si>
  <si>
    <t>2.</t>
  </si>
  <si>
    <t>Выбирите нужный тип и диаметр трубопровода</t>
  </si>
  <si>
    <t>Установите расход теплоносителя</t>
  </si>
  <si>
    <t>Установите требуемую температуру теплоносителя</t>
  </si>
  <si>
    <t>Установите длину участка трубопровода в метрах</t>
  </si>
  <si>
    <t>4.</t>
  </si>
  <si>
    <t>3.</t>
  </si>
  <si>
    <t>расход теплоносителя  (кг/час)</t>
  </si>
  <si>
    <r>
      <t>объемный вес теплоносителя   (кг/м</t>
    </r>
    <r>
      <rPr>
        <sz val="11"/>
        <color indexed="8"/>
        <rFont val="Calibri"/>
        <family val="2"/>
      </rPr>
      <t>³)</t>
    </r>
  </si>
  <si>
    <t>скорость теплоносителя  (м/сек)</t>
  </si>
  <si>
    <t>λ - Xаpактеpистика  сопpотивления</t>
  </si>
  <si>
    <t>Pa</t>
  </si>
  <si>
    <t>Beta PPR SDR11 / S5 в рулоне</t>
  </si>
  <si>
    <t>Beta PPR SDR7,4 / S3,2 в рулоне</t>
  </si>
  <si>
    <t>ПРОГРАММА РАСЧЕТА ГИДРАВЛИЧЕСКИХ ПОТЕРЬ В ТРУБОПРОВОДЕ</t>
  </si>
  <si>
    <r>
      <t>5</t>
    </r>
    <r>
      <rPr>
        <sz val="11"/>
        <color indexed="8"/>
        <rFont val="Calibri"/>
        <family val="2"/>
      </rPr>
      <t>°C</t>
    </r>
  </si>
  <si>
    <r>
      <t>10</t>
    </r>
    <r>
      <rPr>
        <sz val="11"/>
        <color indexed="8"/>
        <rFont val="Calibri"/>
        <family val="2"/>
      </rPr>
      <t>°C</t>
    </r>
  </si>
  <si>
    <t>WWW.GALLAPLAST.COM</t>
  </si>
  <si>
    <t>площадь поперечного сечения трубы</t>
  </si>
  <si>
    <t xml:space="preserve"> </t>
  </si>
  <si>
    <t>Расчетный  внутренний диаметр (мм)</t>
  </si>
  <si>
    <t>Потеpи давления  (Pa/m)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</si>
</sst>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00"/>
    <numFmt numFmtId="180" formatCode="0.000000"/>
    <numFmt numFmtId="181" formatCode="0.00000000"/>
    <numFmt numFmtId="182" formatCode="0.0000000"/>
    <numFmt numFmtId="183" formatCode="#,##0.0"/>
    <numFmt numFmtId="184" formatCode="0.00000000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1" fillId="10" borderId="12" xfId="0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/>
    </xf>
    <xf numFmtId="0" fontId="0" fillId="3" borderId="0" xfId="0" applyNumberFormat="1" applyFill="1" applyBorder="1" applyAlignment="1" applyProtection="1">
      <alignment horizontal="center"/>
      <protection locked="0"/>
    </xf>
    <xf numFmtId="0" fontId="0" fillId="3" borderId="0" xfId="0" applyNumberFormat="1" applyFill="1" applyBorder="1" applyAlignment="1" applyProtection="1">
      <alignment horizontal="center" vertical="center"/>
      <protection locked="0"/>
    </xf>
    <xf numFmtId="0" fontId="0" fillId="3" borderId="11" xfId="0" applyNumberFormat="1" applyFill="1" applyBorder="1" applyAlignment="1" applyProtection="1">
      <alignment horizontal="center"/>
      <protection locked="0"/>
    </xf>
    <xf numFmtId="0" fontId="0" fillId="3" borderId="12" xfId="0" applyNumberFormat="1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14" xfId="0" applyFill="1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 horizontal="center"/>
      <protection locked="0"/>
    </xf>
    <xf numFmtId="0" fontId="0" fillId="3" borderId="16" xfId="0" applyNumberFormat="1" applyFill="1" applyBorder="1" applyAlignment="1" applyProtection="1">
      <alignment horizontal="center"/>
      <protection locked="0"/>
    </xf>
    <xf numFmtId="0" fontId="0" fillId="34" borderId="17" xfId="0" applyFill="1" applyBorder="1" applyAlignment="1">
      <alignment/>
    </xf>
    <xf numFmtId="0" fontId="41" fillId="10" borderId="0" xfId="0" applyFont="1" applyFill="1" applyBorder="1" applyAlignment="1" applyProtection="1">
      <alignment horizontal="center"/>
      <protection locked="0"/>
    </xf>
    <xf numFmtId="0" fontId="41" fillId="10" borderId="13" xfId="0" applyFont="1" applyFill="1" applyBorder="1" applyAlignment="1" applyProtection="1">
      <alignment horizontal="center"/>
      <protection locked="0"/>
    </xf>
    <xf numFmtId="0" fontId="41" fillId="10" borderId="14" xfId="0" applyFont="1" applyFill="1" applyBorder="1" applyAlignment="1" applyProtection="1">
      <alignment horizontal="center"/>
      <protection locked="0"/>
    </xf>
    <xf numFmtId="0" fontId="0" fillId="3" borderId="14" xfId="0" applyNumberFormat="1" applyFill="1" applyBorder="1" applyAlignment="1" applyProtection="1">
      <alignment horizontal="center"/>
      <protection locked="0"/>
    </xf>
    <xf numFmtId="0" fontId="0" fillId="3" borderId="15" xfId="0" applyNumberFormat="1" applyFill="1" applyBorder="1" applyAlignment="1" applyProtection="1">
      <alignment horizontal="center"/>
      <protection locked="0"/>
    </xf>
    <xf numFmtId="0" fontId="41" fillId="10" borderId="10" xfId="0" applyFont="1" applyFill="1" applyBorder="1" applyAlignment="1" applyProtection="1">
      <alignment horizontal="center"/>
      <protection locked="0"/>
    </xf>
    <xf numFmtId="0" fontId="41" fillId="10" borderId="18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Alignment="1">
      <alignment horizontal="left"/>
    </xf>
    <xf numFmtId="0" fontId="0" fillId="0" borderId="0" xfId="0" applyFill="1" applyAlignment="1">
      <alignment/>
    </xf>
    <xf numFmtId="0" fontId="0" fillId="34" borderId="19" xfId="0" applyFill="1" applyBorder="1" applyAlignment="1">
      <alignment/>
    </xf>
    <xf numFmtId="0" fontId="51" fillId="0" borderId="13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1" fontId="0" fillId="0" borderId="15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33" borderId="16" xfId="0" applyNumberFormat="1" applyFill="1" applyBorder="1" applyAlignment="1">
      <alignment/>
    </xf>
    <xf numFmtId="1" fontId="0" fillId="0" borderId="0" xfId="0" applyNumberFormat="1" applyAlignment="1">
      <alignment horizontal="center"/>
    </xf>
    <xf numFmtId="0" fontId="52" fillId="0" borderId="0" xfId="0" applyFont="1" applyAlignment="1">
      <alignment/>
    </xf>
    <xf numFmtId="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3" borderId="0" xfId="0" applyFill="1" applyAlignment="1">
      <alignment/>
    </xf>
    <xf numFmtId="0" fontId="53" fillId="3" borderId="0" xfId="0" applyFont="1" applyFill="1" applyAlignment="1">
      <alignment horizontal="left"/>
    </xf>
    <xf numFmtId="0" fontId="53" fillId="3" borderId="0" xfId="0" applyFont="1" applyFill="1" applyAlignment="1">
      <alignment/>
    </xf>
    <xf numFmtId="0" fontId="0" fillId="10" borderId="0" xfId="0" applyFill="1" applyAlignment="1">
      <alignment/>
    </xf>
    <xf numFmtId="0" fontId="53" fillId="10" borderId="0" xfId="0" applyFont="1" applyFill="1" applyAlignment="1">
      <alignment horizontal="left"/>
    </xf>
    <xf numFmtId="0" fontId="53" fillId="10" borderId="0" xfId="0" applyFont="1" applyFill="1" applyAlignment="1">
      <alignment/>
    </xf>
    <xf numFmtId="0" fontId="0" fillId="12" borderId="0" xfId="0" applyFill="1" applyAlignment="1">
      <alignment/>
    </xf>
    <xf numFmtId="0" fontId="53" fillId="12" borderId="0" xfId="0" applyFont="1" applyFill="1" applyAlignment="1">
      <alignment horizontal="left"/>
    </xf>
    <xf numFmtId="0" fontId="53" fillId="12" borderId="0" xfId="0" applyFont="1" applyFill="1" applyAlignment="1">
      <alignment/>
    </xf>
    <xf numFmtId="0" fontId="0" fillId="33" borderId="20" xfId="0" applyFill="1" applyBorder="1" applyAlignment="1">
      <alignment/>
    </xf>
    <xf numFmtId="0" fontId="0" fillId="35" borderId="0" xfId="0" applyFill="1" applyAlignment="1">
      <alignment/>
    </xf>
    <xf numFmtId="0" fontId="53" fillId="35" borderId="0" xfId="0" applyFont="1" applyFill="1" applyAlignment="1">
      <alignment horizontal="left"/>
    </xf>
    <xf numFmtId="0" fontId="53" fillId="35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 horizontal="left"/>
      <protection locked="0"/>
    </xf>
    <xf numFmtId="0" fontId="0" fillId="13" borderId="10" xfId="0" applyFill="1" applyBorder="1" applyAlignment="1">
      <alignment/>
    </xf>
    <xf numFmtId="4" fontId="54" fillId="13" borderId="0" xfId="0" applyNumberFormat="1" applyFont="1" applyFill="1" applyBorder="1" applyAlignment="1">
      <alignment vertical="center"/>
    </xf>
    <xf numFmtId="0" fontId="0" fillId="13" borderId="11" xfId="0" applyFill="1" applyBorder="1" applyAlignment="1">
      <alignment/>
    </xf>
    <xf numFmtId="0" fontId="0" fillId="13" borderId="18" xfId="0" applyFill="1" applyBorder="1" applyAlignment="1">
      <alignment/>
    </xf>
    <xf numFmtId="4" fontId="54" fillId="13" borderId="12" xfId="0" applyNumberFormat="1" applyFont="1" applyFill="1" applyBorder="1" applyAlignment="1">
      <alignment vertical="center"/>
    </xf>
    <xf numFmtId="0" fontId="0" fillId="13" borderId="16" xfId="0" applyFill="1" applyBorder="1" applyAlignment="1">
      <alignment/>
    </xf>
    <xf numFmtId="0" fontId="0" fillId="33" borderId="0" xfId="0" applyFill="1" applyBorder="1" applyAlignment="1">
      <alignment/>
    </xf>
    <xf numFmtId="172" fontId="0" fillId="33" borderId="0" xfId="0" applyNumberFormat="1" applyFill="1" applyBorder="1" applyAlignment="1">
      <alignment/>
    </xf>
    <xf numFmtId="2" fontId="0" fillId="33" borderId="0" xfId="0" applyNumberFormat="1" applyFill="1" applyBorder="1" applyAlignment="1">
      <alignment/>
    </xf>
    <xf numFmtId="178" fontId="0" fillId="33" borderId="0" xfId="0" applyNumberForma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0" fillId="10" borderId="0" xfId="0" applyFill="1" applyBorder="1" applyAlignment="1">
      <alignment/>
    </xf>
    <xf numFmtId="0" fontId="0" fillId="12" borderId="0" xfId="0" applyFill="1" applyBorder="1" applyAlignment="1">
      <alignment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/>
      <protection locked="0"/>
    </xf>
    <xf numFmtId="0" fontId="0" fillId="16" borderId="16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173" fontId="0" fillId="34" borderId="0" xfId="0" applyNumberFormat="1" applyFill="1" applyAlignment="1">
      <alignment horizontal="left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/>
    </xf>
    <xf numFmtId="0" fontId="4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justify"/>
    </xf>
    <xf numFmtId="184" fontId="0" fillId="0" borderId="0" xfId="0" applyNumberFormat="1" applyAlignment="1">
      <alignment/>
    </xf>
    <xf numFmtId="4" fontId="60" fillId="13" borderId="0" xfId="0" applyNumberFormat="1" applyFont="1" applyFill="1" applyBorder="1" applyAlignment="1">
      <alignment horizontal="right" vertical="center"/>
    </xf>
    <xf numFmtId="4" fontId="60" fillId="13" borderId="12" xfId="0" applyNumberFormat="1" applyFont="1" applyFill="1" applyBorder="1" applyAlignment="1">
      <alignment horizontal="right" vertical="center"/>
    </xf>
    <xf numFmtId="4" fontId="60" fillId="13" borderId="0" xfId="0" applyNumberFormat="1" applyFont="1" applyFill="1" applyBorder="1" applyAlignment="1">
      <alignment horizontal="center" vertical="center"/>
    </xf>
    <xf numFmtId="4" fontId="60" fillId="13" borderId="12" xfId="0" applyNumberFormat="1" applyFont="1" applyFill="1" applyBorder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0" fontId="62" fillId="33" borderId="13" xfId="0" applyFont="1" applyFill="1" applyBorder="1" applyAlignment="1">
      <alignment horizontal="center"/>
    </xf>
    <xf numFmtId="0" fontId="62" fillId="33" borderId="14" xfId="0" applyFont="1" applyFill="1" applyBorder="1" applyAlignment="1">
      <alignment horizontal="center"/>
    </xf>
    <xf numFmtId="0" fontId="62" fillId="33" borderId="15" xfId="0" applyFont="1" applyFill="1" applyBorder="1" applyAlignment="1">
      <alignment horizontal="center"/>
    </xf>
    <xf numFmtId="0" fontId="0" fillId="36" borderId="22" xfId="0" applyFill="1" applyBorder="1" applyAlignment="1" applyProtection="1">
      <alignment horizontal="center" vertical="center"/>
      <protection locked="0"/>
    </xf>
    <xf numFmtId="0" fontId="0" fillId="36" borderId="23" xfId="0" applyFill="1" applyBorder="1" applyAlignment="1" applyProtection="1">
      <alignment horizontal="center" vertical="center"/>
      <protection locked="0"/>
    </xf>
    <xf numFmtId="0" fontId="0" fillId="36" borderId="24" xfId="0" applyFill="1" applyBorder="1" applyAlignment="1" applyProtection="1">
      <alignment horizontal="center" vertical="center"/>
      <protection locked="0"/>
    </xf>
    <xf numFmtId="0" fontId="0" fillId="36" borderId="25" xfId="0" applyFill="1" applyBorder="1" applyAlignment="1" applyProtection="1">
      <alignment horizontal="center" vertical="center"/>
      <protection locked="0"/>
    </xf>
    <xf numFmtId="0" fontId="0" fillId="36" borderId="26" xfId="0" applyFill="1" applyBorder="1" applyAlignment="1" applyProtection="1">
      <alignment horizontal="center" vertical="center"/>
      <protection locked="0"/>
    </xf>
    <xf numFmtId="0" fontId="0" fillId="36" borderId="27" xfId="0" applyFill="1" applyBorder="1" applyAlignment="1" applyProtection="1">
      <alignment horizontal="center" vertical="center"/>
      <protection locked="0"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28" xfId="0" applyFill="1" applyBorder="1" applyAlignment="1" applyProtection="1">
      <alignment horizontal="center" vertical="center"/>
      <protection locked="0"/>
    </xf>
    <xf numFmtId="0" fontId="60" fillId="33" borderId="0" xfId="0" applyFont="1" applyFill="1" applyBorder="1" applyAlignment="1">
      <alignment horizontal="center" vertical="top"/>
    </xf>
    <xf numFmtId="0" fontId="3" fillId="13" borderId="13" xfId="0" applyFont="1" applyFill="1" applyBorder="1" applyAlignment="1">
      <alignment horizontal="center"/>
    </xf>
    <xf numFmtId="0" fontId="3" fillId="13" borderId="14" xfId="0" applyFont="1" applyFill="1" applyBorder="1" applyAlignment="1">
      <alignment horizontal="center"/>
    </xf>
    <xf numFmtId="0" fontId="3" fillId="13" borderId="15" xfId="0" applyFont="1" applyFill="1" applyBorder="1" applyAlignment="1">
      <alignment horizontal="center"/>
    </xf>
    <xf numFmtId="0" fontId="37" fillId="33" borderId="0" xfId="42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57150</xdr:rowOff>
    </xdr:from>
    <xdr:to>
      <xdr:col>4</xdr:col>
      <xdr:colOff>495300</xdr:colOff>
      <xdr:row>5</xdr:row>
      <xdr:rowOff>104775</xdr:rowOff>
    </xdr:to>
    <xdr:pic>
      <xdr:nvPicPr>
        <xdr:cNvPr id="1" name="Рисунок 1" descr="logo bm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57150"/>
          <a:ext cx="723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llaplast.com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5"/>
  <sheetViews>
    <sheetView showGridLines="0" showRowColHeaders="0" tabSelected="1" zoomScale="115" zoomScaleNormal="115" workbookViewId="0" topLeftCell="A1">
      <selection activeCell="O15" sqref="O15:O16"/>
    </sheetView>
  </sheetViews>
  <sheetFormatPr defaultColWidth="9.140625" defaultRowHeight="15"/>
  <cols>
    <col min="1" max="1" width="3.140625" style="0" customWidth="1"/>
    <col min="2" max="2" width="2.00390625" style="0" customWidth="1"/>
    <col min="3" max="3" width="2.57421875" style="0" customWidth="1"/>
    <col min="4" max="4" width="2.8515625" style="0" customWidth="1"/>
    <col min="5" max="5" width="8.57421875" style="0" customWidth="1"/>
    <col min="8" max="8" width="10.57421875" style="0" customWidth="1"/>
    <col min="11" max="11" width="3.7109375" style="0" customWidth="1"/>
    <col min="12" max="12" width="1.421875" style="0" customWidth="1"/>
    <col min="13" max="13" width="3.7109375" style="0" customWidth="1"/>
    <col min="19" max="19" width="11.421875" style="0" customWidth="1"/>
    <col min="20" max="20" width="5.7109375" style="0" customWidth="1"/>
    <col min="21" max="21" width="5.7109375" style="0" hidden="1" customWidth="1"/>
    <col min="22" max="22" width="13.57421875" style="0" hidden="1" customWidth="1"/>
    <col min="23" max="23" width="17.8515625" style="0" hidden="1" customWidth="1"/>
    <col min="24" max="24" width="27.8515625" style="0" hidden="1" customWidth="1"/>
    <col min="25" max="25" width="31.57421875" style="0" hidden="1" customWidth="1"/>
    <col min="26" max="30" width="5.7109375" style="0" hidden="1" customWidth="1"/>
    <col min="31" max="31" width="11.00390625" style="0" hidden="1" customWidth="1"/>
    <col min="32" max="32" width="8.28125" style="0" hidden="1" customWidth="1"/>
    <col min="33" max="33" width="8.8515625" style="0" hidden="1" customWidth="1"/>
    <col min="34" max="34" width="9.7109375" style="0" hidden="1" customWidth="1"/>
    <col min="35" max="35" width="9.140625" style="0" hidden="1" customWidth="1"/>
    <col min="36" max="36" width="12.8515625" style="0" hidden="1" customWidth="1"/>
    <col min="37" max="44" width="5.7109375" style="0" hidden="1" customWidth="1"/>
    <col min="45" max="57" width="5.7109375" style="0" customWidth="1"/>
  </cols>
  <sheetData>
    <row r="1" spans="3:24" ht="15"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1"/>
      <c r="V1" s="5"/>
      <c r="W1" s="5"/>
      <c r="X1" s="5"/>
    </row>
    <row r="2" spans="3:43" ht="12" customHeight="1">
      <c r="C2" s="5"/>
      <c r="D2" s="5"/>
      <c r="E2" s="5"/>
      <c r="F2" s="5"/>
      <c r="G2" s="97" t="s">
        <v>62</v>
      </c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31"/>
      <c r="V2" s="98" t="s">
        <v>37</v>
      </c>
      <c r="W2" s="99"/>
      <c r="X2" s="100"/>
      <c r="Y2" s="23"/>
      <c r="Z2" s="24"/>
      <c r="AA2" s="24"/>
      <c r="AB2" s="25"/>
      <c r="AE2" t="s">
        <v>20</v>
      </c>
      <c r="AF2" s="1" t="s">
        <v>21</v>
      </c>
      <c r="AG2" s="10">
        <v>1</v>
      </c>
      <c r="AH2" s="11">
        <v>2</v>
      </c>
      <c r="AI2" s="11">
        <v>3</v>
      </c>
      <c r="AJ2" s="11">
        <v>4</v>
      </c>
      <c r="AK2" s="12">
        <v>5</v>
      </c>
      <c r="AL2" s="10">
        <v>6</v>
      </c>
      <c r="AM2" s="11">
        <v>7</v>
      </c>
      <c r="AN2" s="11">
        <v>8</v>
      </c>
      <c r="AO2" s="11">
        <v>9</v>
      </c>
      <c r="AP2" s="11">
        <v>10</v>
      </c>
      <c r="AQ2" s="12">
        <v>11</v>
      </c>
    </row>
    <row r="3" spans="3:43" ht="12" customHeight="1">
      <c r="C3" s="5"/>
      <c r="D3" s="5"/>
      <c r="E3" s="5"/>
      <c r="F3" s="5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31"/>
      <c r="V3" s="2" t="s">
        <v>63</v>
      </c>
      <c r="W3" s="29">
        <v>5</v>
      </c>
      <c r="X3" s="3">
        <f>POWER(10,-6)*1.519</f>
        <v>1.5189999999999998E-06</v>
      </c>
      <c r="Y3" s="26">
        <v>1</v>
      </c>
      <c r="Z3" s="27" t="s">
        <v>0</v>
      </c>
      <c r="AA3" s="28"/>
      <c r="AB3" s="22"/>
      <c r="AD3" s="16" t="s">
        <v>9</v>
      </c>
      <c r="AE3" s="17">
        <v>16</v>
      </c>
      <c r="AF3" s="17">
        <v>0.3</v>
      </c>
      <c r="AG3" s="18">
        <v>0</v>
      </c>
      <c r="AH3" s="18">
        <v>2.2</v>
      </c>
      <c r="AI3" s="18">
        <v>2.7</v>
      </c>
      <c r="AJ3" s="18">
        <v>0</v>
      </c>
      <c r="AK3" s="19">
        <v>0</v>
      </c>
      <c r="AL3" s="6">
        <v>1.8</v>
      </c>
      <c r="AM3" s="7">
        <v>2.2</v>
      </c>
      <c r="AN3" s="6">
        <v>0</v>
      </c>
      <c r="AO3" s="7">
        <v>0</v>
      </c>
      <c r="AP3" s="6">
        <v>1.8</v>
      </c>
      <c r="AQ3" s="8">
        <v>2.2</v>
      </c>
    </row>
    <row r="4" spans="3:43" ht="12" customHeight="1">
      <c r="C4" s="5"/>
      <c r="D4" s="5"/>
      <c r="E4" s="5"/>
      <c r="F4" s="5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31"/>
      <c r="V4" s="2" t="s">
        <v>64</v>
      </c>
      <c r="W4" s="29">
        <v>10</v>
      </c>
      <c r="X4" s="3">
        <f>POWER(10,-6)*1.307</f>
        <v>1.307E-06</v>
      </c>
      <c r="Y4" s="26">
        <v>2</v>
      </c>
      <c r="Z4" s="27" t="s">
        <v>1</v>
      </c>
      <c r="AA4" s="28"/>
      <c r="AB4" s="22"/>
      <c r="AD4" s="20" t="s">
        <v>10</v>
      </c>
      <c r="AE4" s="15">
        <v>20</v>
      </c>
      <c r="AF4" s="15">
        <v>0.3</v>
      </c>
      <c r="AG4" s="6">
        <v>1.9</v>
      </c>
      <c r="AH4" s="6">
        <v>2.8</v>
      </c>
      <c r="AI4" s="6">
        <v>3.4</v>
      </c>
      <c r="AJ4" s="6">
        <v>2.8</v>
      </c>
      <c r="AK4" s="8">
        <v>3.4</v>
      </c>
      <c r="AL4" s="6">
        <v>2.3</v>
      </c>
      <c r="AM4" s="6">
        <v>2.8</v>
      </c>
      <c r="AN4" s="6">
        <v>2.3</v>
      </c>
      <c r="AO4" s="6">
        <v>2.8</v>
      </c>
      <c r="AP4" s="6">
        <v>1.9</v>
      </c>
      <c r="AQ4" s="8">
        <v>2.8</v>
      </c>
    </row>
    <row r="5" spans="3:43" ht="12" customHeight="1">
      <c r="C5" s="5"/>
      <c r="D5" s="5"/>
      <c r="E5" s="5"/>
      <c r="F5" s="5"/>
      <c r="G5" s="5"/>
      <c r="H5" s="113" t="s">
        <v>65</v>
      </c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5"/>
      <c r="U5" s="31"/>
      <c r="V5" s="2" t="s">
        <v>26</v>
      </c>
      <c r="W5" s="29">
        <v>20</v>
      </c>
      <c r="X5" s="3">
        <f>POWER(10,-6)*1.004</f>
        <v>1.004E-06</v>
      </c>
      <c r="Y5" s="26">
        <v>3</v>
      </c>
      <c r="Z5" s="27" t="s">
        <v>2</v>
      </c>
      <c r="AA5" s="28"/>
      <c r="AB5" s="22"/>
      <c r="AD5" s="20" t="s">
        <v>11</v>
      </c>
      <c r="AE5" s="15">
        <v>25</v>
      </c>
      <c r="AF5" s="15">
        <v>0.3</v>
      </c>
      <c r="AG5" s="6">
        <v>2.3</v>
      </c>
      <c r="AH5" s="6">
        <v>3.5</v>
      </c>
      <c r="AI5" s="6">
        <v>4.2</v>
      </c>
      <c r="AJ5" s="6">
        <v>3.5</v>
      </c>
      <c r="AK5" s="8">
        <v>4.2</v>
      </c>
      <c r="AL5" s="6">
        <v>2.8</v>
      </c>
      <c r="AM5" s="6">
        <v>3.5</v>
      </c>
      <c r="AN5" s="6">
        <v>2.8</v>
      </c>
      <c r="AO5" s="6">
        <v>3.5</v>
      </c>
      <c r="AP5" s="6">
        <v>0</v>
      </c>
      <c r="AQ5" s="8">
        <v>0</v>
      </c>
    </row>
    <row r="6" spans="3:43" ht="13.5" customHeight="1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31"/>
      <c r="V6" s="2" t="s">
        <v>27</v>
      </c>
      <c r="W6" s="29">
        <v>30</v>
      </c>
      <c r="X6" s="3">
        <f>POWER(10,-6)*0.801</f>
        <v>8.01E-07</v>
      </c>
      <c r="Y6" s="26">
        <v>4</v>
      </c>
      <c r="Z6" s="27" t="s">
        <v>3</v>
      </c>
      <c r="AA6" s="28"/>
      <c r="AB6" s="22"/>
      <c r="AD6" s="20" t="s">
        <v>12</v>
      </c>
      <c r="AE6" s="15">
        <v>32</v>
      </c>
      <c r="AF6" s="15">
        <v>0.3</v>
      </c>
      <c r="AG6" s="6">
        <v>2.9</v>
      </c>
      <c r="AH6" s="6">
        <v>4.4</v>
      </c>
      <c r="AI6" s="6">
        <v>5.4</v>
      </c>
      <c r="AJ6" s="6">
        <v>4.4</v>
      </c>
      <c r="AK6" s="8">
        <v>5.4</v>
      </c>
      <c r="AL6" s="6">
        <v>3.6</v>
      </c>
      <c r="AM6" s="6">
        <v>4.4</v>
      </c>
      <c r="AN6" s="6">
        <v>3.6</v>
      </c>
      <c r="AO6" s="6">
        <v>4.4</v>
      </c>
      <c r="AP6" s="6">
        <v>0</v>
      </c>
      <c r="AQ6" s="8">
        <v>0</v>
      </c>
    </row>
    <row r="7" spans="3:43" ht="15" customHeight="1" thickBot="1"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31"/>
      <c r="V7" s="2" t="s">
        <v>28</v>
      </c>
      <c r="W7" s="29">
        <v>40</v>
      </c>
      <c r="X7" s="3">
        <f>POWER(10,-6)*0.66</f>
        <v>6.6E-07</v>
      </c>
      <c r="Y7" s="26">
        <v>5</v>
      </c>
      <c r="Z7" s="27" t="s">
        <v>4</v>
      </c>
      <c r="AA7" s="28"/>
      <c r="AB7" s="22"/>
      <c r="AD7" s="20" t="s">
        <v>13</v>
      </c>
      <c r="AE7" s="15">
        <v>40</v>
      </c>
      <c r="AF7" s="15">
        <v>0.4</v>
      </c>
      <c r="AG7" s="6">
        <v>3.7</v>
      </c>
      <c r="AH7" s="6">
        <v>5.5</v>
      </c>
      <c r="AI7" s="6">
        <v>6.7</v>
      </c>
      <c r="AJ7" s="6">
        <v>5.5</v>
      </c>
      <c r="AK7" s="8">
        <v>6.7</v>
      </c>
      <c r="AL7" s="6">
        <v>4.5</v>
      </c>
      <c r="AM7" s="6">
        <v>5.5</v>
      </c>
      <c r="AN7" s="6">
        <v>4.5</v>
      </c>
      <c r="AO7" s="6">
        <v>5.5</v>
      </c>
      <c r="AP7" s="6">
        <v>0</v>
      </c>
      <c r="AQ7" s="8">
        <v>0</v>
      </c>
    </row>
    <row r="8" spans="3:43" ht="19.5" customHeight="1">
      <c r="C8" s="53"/>
      <c r="D8" s="54" t="s">
        <v>47</v>
      </c>
      <c r="E8" s="55" t="s">
        <v>49</v>
      </c>
      <c r="F8" s="53"/>
      <c r="G8" s="53"/>
      <c r="H8" s="53"/>
      <c r="I8" s="53"/>
      <c r="J8" s="53"/>
      <c r="K8" s="53"/>
      <c r="L8" s="43"/>
      <c r="M8" s="44" t="s">
        <v>48</v>
      </c>
      <c r="N8" s="45" t="s">
        <v>51</v>
      </c>
      <c r="O8" s="43"/>
      <c r="P8" s="43"/>
      <c r="Q8" s="43"/>
      <c r="R8" s="43"/>
      <c r="S8" s="43"/>
      <c r="T8" s="43"/>
      <c r="U8" s="31"/>
      <c r="V8" s="2" t="s">
        <v>29</v>
      </c>
      <c r="W8" s="29">
        <v>45</v>
      </c>
      <c r="X8" s="3">
        <f>POWER(10,-6)*0.658</f>
        <v>6.58E-07</v>
      </c>
      <c r="Y8" s="26">
        <v>6</v>
      </c>
      <c r="Z8" s="27" t="s">
        <v>5</v>
      </c>
      <c r="AA8" s="28"/>
      <c r="AB8" s="22"/>
      <c r="AD8" s="20" t="s">
        <v>14</v>
      </c>
      <c r="AE8" s="15">
        <v>50</v>
      </c>
      <c r="AF8" s="15">
        <v>0.5</v>
      </c>
      <c r="AG8" s="6">
        <v>4.6</v>
      </c>
      <c r="AH8" s="6">
        <v>6.9</v>
      </c>
      <c r="AI8" s="6">
        <v>8.3</v>
      </c>
      <c r="AJ8" s="6">
        <v>6.9</v>
      </c>
      <c r="AK8" s="8">
        <v>8.3</v>
      </c>
      <c r="AL8" s="6">
        <v>5.6</v>
      </c>
      <c r="AM8" s="6">
        <v>6.9</v>
      </c>
      <c r="AN8" s="6">
        <v>5.6</v>
      </c>
      <c r="AO8" s="6">
        <v>6.9</v>
      </c>
      <c r="AP8" s="6">
        <v>0</v>
      </c>
      <c r="AQ8" s="8">
        <v>0</v>
      </c>
    </row>
    <row r="9" spans="3:43" ht="12" customHeight="1">
      <c r="C9" s="53"/>
      <c r="D9" s="53"/>
      <c r="E9" s="53"/>
      <c r="F9" s="53"/>
      <c r="G9" s="53"/>
      <c r="H9" s="53"/>
      <c r="I9" s="53"/>
      <c r="J9" s="53"/>
      <c r="K9" s="53"/>
      <c r="L9" s="43"/>
      <c r="M9" s="43"/>
      <c r="N9" s="43"/>
      <c r="O9" s="43"/>
      <c r="P9" s="43"/>
      <c r="Q9" s="43"/>
      <c r="R9" s="43"/>
      <c r="S9" s="43"/>
      <c r="T9" s="43"/>
      <c r="U9" s="31"/>
      <c r="V9" s="2" t="s">
        <v>30</v>
      </c>
      <c r="W9" s="29">
        <v>50</v>
      </c>
      <c r="X9" s="3">
        <f>POWER(10,-6)*0.55</f>
        <v>5.5E-07</v>
      </c>
      <c r="Y9" s="26">
        <v>7</v>
      </c>
      <c r="Z9" s="27" t="s">
        <v>6</v>
      </c>
      <c r="AA9" s="28"/>
      <c r="AB9" s="22"/>
      <c r="AD9" s="20" t="s">
        <v>15</v>
      </c>
      <c r="AE9" s="15">
        <v>63</v>
      </c>
      <c r="AF9" s="15">
        <v>0.5</v>
      </c>
      <c r="AG9" s="6">
        <v>5.8</v>
      </c>
      <c r="AH9" s="6">
        <v>8.6</v>
      </c>
      <c r="AI9" s="6">
        <v>10.5</v>
      </c>
      <c r="AJ9" s="6">
        <v>8.6</v>
      </c>
      <c r="AK9" s="8">
        <v>10.5</v>
      </c>
      <c r="AL9" s="6">
        <v>7.1</v>
      </c>
      <c r="AM9" s="6">
        <v>8.6</v>
      </c>
      <c r="AN9" s="6">
        <v>7.1</v>
      </c>
      <c r="AO9" s="6">
        <v>8.6</v>
      </c>
      <c r="AP9" s="6">
        <v>0</v>
      </c>
      <c r="AQ9" s="8">
        <v>0</v>
      </c>
    </row>
    <row r="10" spans="3:43" ht="12" customHeight="1">
      <c r="C10" s="53"/>
      <c r="D10" s="53"/>
      <c r="E10" s="53"/>
      <c r="F10" s="53"/>
      <c r="G10" s="53"/>
      <c r="H10" s="53"/>
      <c r="I10" s="53"/>
      <c r="J10" s="53"/>
      <c r="K10" s="53"/>
      <c r="L10" s="43"/>
      <c r="M10" s="43"/>
      <c r="N10" s="43"/>
      <c r="O10" s="43"/>
      <c r="P10" s="43"/>
      <c r="Q10" s="43"/>
      <c r="R10" s="43"/>
      <c r="S10" s="43"/>
      <c r="T10" s="43"/>
      <c r="U10" s="31"/>
      <c r="V10" s="2" t="s">
        <v>31</v>
      </c>
      <c r="W10" s="29">
        <v>55</v>
      </c>
      <c r="X10" s="3">
        <f>POWER(10,-6)*0.51</f>
        <v>5.1E-07</v>
      </c>
      <c r="Y10" s="26">
        <v>8</v>
      </c>
      <c r="Z10" s="27" t="s">
        <v>7</v>
      </c>
      <c r="AA10" s="28"/>
      <c r="AB10" s="22"/>
      <c r="AD10" s="20" t="s">
        <v>16</v>
      </c>
      <c r="AE10" s="15">
        <v>75</v>
      </c>
      <c r="AF10" s="15">
        <v>0.7</v>
      </c>
      <c r="AG10" s="6">
        <v>6.8</v>
      </c>
      <c r="AH10" s="6">
        <v>10.3</v>
      </c>
      <c r="AI10" s="6">
        <v>12.5</v>
      </c>
      <c r="AJ10" s="6">
        <v>10.3</v>
      </c>
      <c r="AK10" s="8">
        <v>12.5</v>
      </c>
      <c r="AL10" s="6">
        <v>8.4</v>
      </c>
      <c r="AM10" s="6">
        <v>10.3</v>
      </c>
      <c r="AN10" s="6">
        <v>8.4</v>
      </c>
      <c r="AO10" s="6">
        <v>10.3</v>
      </c>
      <c r="AP10" s="6">
        <v>0</v>
      </c>
      <c r="AQ10" s="8">
        <v>0</v>
      </c>
    </row>
    <row r="11" spans="3:43" ht="12" customHeight="1">
      <c r="C11" s="53"/>
      <c r="D11" s="53"/>
      <c r="E11" s="53"/>
      <c r="F11" s="53"/>
      <c r="G11" s="53"/>
      <c r="H11" s="53"/>
      <c r="I11" s="53"/>
      <c r="J11" s="53"/>
      <c r="K11" s="53"/>
      <c r="L11" s="43"/>
      <c r="M11" s="43"/>
      <c r="N11" s="43"/>
      <c r="O11" s="43"/>
      <c r="P11" s="43"/>
      <c r="Q11" s="43"/>
      <c r="R11" s="43"/>
      <c r="S11" s="43"/>
      <c r="T11" s="43"/>
      <c r="U11" s="31"/>
      <c r="V11" s="2" t="s">
        <v>32</v>
      </c>
      <c r="W11" s="29">
        <v>60</v>
      </c>
      <c r="X11" s="3">
        <f>POWER(10,-6)*0.475</f>
        <v>4.7499999999999995E-07</v>
      </c>
      <c r="Y11" s="26">
        <v>9</v>
      </c>
      <c r="Z11" s="27" t="s">
        <v>8</v>
      </c>
      <c r="AA11" s="28"/>
      <c r="AB11" s="22"/>
      <c r="AD11" s="20" t="s">
        <v>17</v>
      </c>
      <c r="AE11" s="15">
        <v>90</v>
      </c>
      <c r="AF11" s="15">
        <v>0.9</v>
      </c>
      <c r="AG11" s="6">
        <v>8.2</v>
      </c>
      <c r="AH11" s="6">
        <v>12.3</v>
      </c>
      <c r="AI11" s="6">
        <v>15</v>
      </c>
      <c r="AJ11" s="6">
        <v>12.3</v>
      </c>
      <c r="AK11" s="8">
        <v>15</v>
      </c>
      <c r="AL11" s="6">
        <v>10.1</v>
      </c>
      <c r="AM11" s="6">
        <v>12.3</v>
      </c>
      <c r="AN11" s="6">
        <v>10.1</v>
      </c>
      <c r="AO11" s="6">
        <v>12.3</v>
      </c>
      <c r="AP11" s="6">
        <v>0</v>
      </c>
      <c r="AQ11" s="8">
        <v>0</v>
      </c>
    </row>
    <row r="12" spans="3:43" ht="12" customHeight="1">
      <c r="C12" s="53"/>
      <c r="D12" s="53"/>
      <c r="E12" s="53"/>
      <c r="F12" s="53"/>
      <c r="G12" s="53"/>
      <c r="H12" s="53"/>
      <c r="I12" s="53"/>
      <c r="J12" s="53"/>
      <c r="K12" s="53"/>
      <c r="L12" s="43"/>
      <c r="M12" s="43"/>
      <c r="N12" s="43"/>
      <c r="O12" s="43"/>
      <c r="P12" s="43"/>
      <c r="Q12" s="43"/>
      <c r="R12" s="43"/>
      <c r="S12" s="43"/>
      <c r="T12" s="43"/>
      <c r="U12" s="31"/>
      <c r="V12" s="2" t="s">
        <v>33</v>
      </c>
      <c r="W12" s="29">
        <v>65</v>
      </c>
      <c r="X12" s="3">
        <f>POWER(10,-6)*0.43</f>
        <v>4.2999999999999996E-07</v>
      </c>
      <c r="Y12" s="26">
        <v>10</v>
      </c>
      <c r="Z12" s="57" t="s">
        <v>60</v>
      </c>
      <c r="AA12" s="28"/>
      <c r="AB12" s="22"/>
      <c r="AD12" s="20" t="s">
        <v>18</v>
      </c>
      <c r="AE12" s="15">
        <v>110</v>
      </c>
      <c r="AF12" s="15">
        <v>1</v>
      </c>
      <c r="AG12" s="6">
        <v>10</v>
      </c>
      <c r="AH12" s="6">
        <v>15.1</v>
      </c>
      <c r="AI12" s="6">
        <v>18.3</v>
      </c>
      <c r="AJ12" s="6">
        <v>15.1</v>
      </c>
      <c r="AK12" s="8">
        <v>18.3</v>
      </c>
      <c r="AL12" s="6">
        <v>12.3</v>
      </c>
      <c r="AM12" s="6">
        <v>15.1</v>
      </c>
      <c r="AN12" s="6">
        <v>12.3</v>
      </c>
      <c r="AO12" s="6">
        <v>15.1</v>
      </c>
      <c r="AP12" s="6">
        <v>0</v>
      </c>
      <c r="AQ12" s="8">
        <v>0</v>
      </c>
    </row>
    <row r="13" spans="3:43" ht="19.5" customHeight="1" thickBot="1">
      <c r="C13" s="46"/>
      <c r="D13" s="47" t="s">
        <v>54</v>
      </c>
      <c r="E13" s="48" t="s">
        <v>52</v>
      </c>
      <c r="F13" s="46"/>
      <c r="G13" s="46"/>
      <c r="H13" s="46"/>
      <c r="I13" s="46"/>
      <c r="J13" s="46"/>
      <c r="K13" s="46"/>
      <c r="L13" s="49"/>
      <c r="M13" s="50" t="s">
        <v>53</v>
      </c>
      <c r="N13" s="51" t="s">
        <v>50</v>
      </c>
      <c r="O13" s="49"/>
      <c r="P13" s="49"/>
      <c r="Q13" s="49"/>
      <c r="R13" s="49"/>
      <c r="S13" s="49"/>
      <c r="T13" s="49"/>
      <c r="U13" s="31"/>
      <c r="V13" s="2" t="s">
        <v>34</v>
      </c>
      <c r="W13" s="29">
        <v>70</v>
      </c>
      <c r="X13" s="3">
        <f>POWER(10,-6)*0.413</f>
        <v>4.1299999999999995E-07</v>
      </c>
      <c r="Y13" s="26">
        <v>11</v>
      </c>
      <c r="Z13" s="57" t="s">
        <v>61</v>
      </c>
      <c r="AA13" s="28"/>
      <c r="AB13" s="22"/>
      <c r="AD13" s="21" t="s">
        <v>19</v>
      </c>
      <c r="AE13" s="4">
        <v>125</v>
      </c>
      <c r="AF13" s="4">
        <v>1.2</v>
      </c>
      <c r="AG13" s="9">
        <v>11.4</v>
      </c>
      <c r="AH13" s="9">
        <v>17.1</v>
      </c>
      <c r="AI13" s="9">
        <v>20.8</v>
      </c>
      <c r="AJ13" s="6">
        <v>17.1</v>
      </c>
      <c r="AK13" s="13">
        <v>20.8</v>
      </c>
      <c r="AL13" s="9">
        <v>14</v>
      </c>
      <c r="AM13" s="9">
        <v>17.1</v>
      </c>
      <c r="AN13" s="9">
        <v>14</v>
      </c>
      <c r="AO13" s="9">
        <v>17.1</v>
      </c>
      <c r="AP13" s="9">
        <v>0</v>
      </c>
      <c r="AQ13" s="13">
        <v>0</v>
      </c>
    </row>
    <row r="14" spans="3:36" ht="12" customHeight="1" thickBot="1">
      <c r="C14" s="46"/>
      <c r="D14" s="46"/>
      <c r="E14" s="46"/>
      <c r="F14" s="46"/>
      <c r="G14" s="46"/>
      <c r="H14" s="46"/>
      <c r="I14" s="46"/>
      <c r="J14" s="46"/>
      <c r="K14" s="46"/>
      <c r="L14" s="49"/>
      <c r="M14" s="49"/>
      <c r="N14" s="49"/>
      <c r="O14" s="49"/>
      <c r="P14" s="49"/>
      <c r="Q14" s="49"/>
      <c r="R14" s="49"/>
      <c r="S14" s="49"/>
      <c r="T14" s="49"/>
      <c r="U14" s="31"/>
      <c r="V14" s="2" t="s">
        <v>35</v>
      </c>
      <c r="W14" s="29">
        <v>80</v>
      </c>
      <c r="X14" s="3">
        <f>POWER(10,-6)*0.365</f>
        <v>3.65E-07</v>
      </c>
      <c r="Y14" s="72">
        <v>4</v>
      </c>
      <c r="Z14" s="73" t="str">
        <f>INDEX(Z3:Z13,Y14)</f>
        <v>Fazer  SDR7,4 / S2,5</v>
      </c>
      <c r="AA14" s="74"/>
      <c r="AB14" s="75"/>
      <c r="AD14" s="76">
        <v>2</v>
      </c>
      <c r="AE14" s="76">
        <f>IF(AG14=0,0,INDEX(AE3:AE13,AD14))</f>
        <v>20</v>
      </c>
      <c r="AF14" s="76">
        <f>IF(AG14=0,0,INDEX(AF3:AF13,AD14))</f>
        <v>0.3</v>
      </c>
      <c r="AG14" s="77">
        <f>INDEX(AG3:AQ13,AD14,Y14)</f>
        <v>2.8</v>
      </c>
      <c r="AH14" s="77">
        <f>IF(AND(1&lt;$AG$14,2&gt;=$AG$14),0.3,0)+IF(AND(2&lt;$AG$14,3&gt;=$AG$14),0.4,0)++IF(AND(3&lt;$AG$14,4&gt;=$AG$14),0.5,0)++IF(AND(4&lt;$AG$14,5&gt;=$AG$14),0.6,0)++IF(AND(5&lt;$AG$14,6&gt;=$AG$14),0.7,0)++IF(AND(6&lt;$AG$14,7&gt;=$AG$14),0.8,0)++IF(AND(8&lt;$AG$14,9&gt;=$AG$14),1,0)++IF(AND(9&lt;$AG$14,10&gt;=$AG$14),1.1,0)++IF(AND(10&lt;$AG$14,11&gt;=$AG$14),1.2,0)++IF(AND(11&lt;$AG$14,12&gt;=$AG$14),1.3,0)++IF(AND(12&lt;$AG$14,13&gt;=$AG$14),1.4,0)++IF(AND(13&lt;$AG$14,14&gt;=$AG$14),1.5,0)++IF(AND(14&lt;$AG$14,15&gt;=$AG$14),1.6,0)++IF(AND(15&lt;$AG$14,16&gt;=$AG$14),1.7,0)++IF(AND(16&lt;$AG$14,17&gt;=$AG$14),1.8,0)++IF(AND(17&lt;$AG$14,18&gt;=$AG$14),1.9,0)++IF(AND(18&lt;$AG$14,19&gt;=$AG$14),2,0)++IF(AND(19&lt;$AG$14,20&gt;=$AG$14),2.1,0)++IF(AND(20&lt;$AG$14,21&gt;=$AG$14),2.2,0)</f>
        <v>0.4</v>
      </c>
      <c r="AI14" s="77">
        <f>0.5*(2*AE14+AF14-4*AG14-2*AH14)</f>
        <v>14.149999999999999</v>
      </c>
      <c r="AJ14" s="78">
        <f>AI14/1000</f>
        <v>0.01415</v>
      </c>
    </row>
    <row r="15" spans="3:36" ht="12" customHeight="1">
      <c r="C15" s="46"/>
      <c r="D15" s="46"/>
      <c r="E15" s="103">
        <v>1</v>
      </c>
      <c r="F15" s="104"/>
      <c r="G15" s="105"/>
      <c r="H15" s="46"/>
      <c r="I15" s="46"/>
      <c r="J15" s="46"/>
      <c r="K15" s="46"/>
      <c r="L15" s="49"/>
      <c r="M15" s="49"/>
      <c r="N15" s="49"/>
      <c r="O15" s="101">
        <v>0.2</v>
      </c>
      <c r="P15" s="49"/>
      <c r="Q15" s="49"/>
      <c r="R15" s="49"/>
      <c r="S15" s="49"/>
      <c r="T15" s="49"/>
      <c r="U15" s="31"/>
      <c r="V15" s="2" t="s">
        <v>36</v>
      </c>
      <c r="W15" s="29">
        <v>90</v>
      </c>
      <c r="X15" s="3">
        <f>POWER(10,-6)*0.326</f>
        <v>3.26E-07</v>
      </c>
      <c r="AD15" s="79" t="str">
        <f>INDEX(AD3:AD13,AD14)</f>
        <v>D20</v>
      </c>
      <c r="AE15" s="80" t="s">
        <v>20</v>
      </c>
      <c r="AF15" s="81" t="s">
        <v>21</v>
      </c>
      <c r="AG15" s="80" t="s">
        <v>22</v>
      </c>
      <c r="AH15" s="81" t="s">
        <v>23</v>
      </c>
      <c r="AI15" s="80" t="s">
        <v>24</v>
      </c>
      <c r="AJ15" s="80" t="s">
        <v>25</v>
      </c>
    </row>
    <row r="16" spans="3:36" ht="12" customHeight="1" thickBot="1">
      <c r="C16" s="46"/>
      <c r="D16" s="46"/>
      <c r="E16" s="106"/>
      <c r="F16" s="107"/>
      <c r="G16" s="108"/>
      <c r="H16" s="46"/>
      <c r="I16" s="46"/>
      <c r="J16" s="46"/>
      <c r="K16" s="46"/>
      <c r="L16" s="49"/>
      <c r="M16" s="49"/>
      <c r="N16" s="49"/>
      <c r="O16" s="102"/>
      <c r="P16" s="49"/>
      <c r="Q16" s="49"/>
      <c r="R16" s="49"/>
      <c r="S16" s="49"/>
      <c r="T16" s="49"/>
      <c r="U16" s="31"/>
      <c r="V16" s="72">
        <v>3</v>
      </c>
      <c r="W16" s="73">
        <f>INDEX(W3:W15,V16)</f>
        <v>20</v>
      </c>
      <c r="X16" s="73">
        <f>INDEX(X3:X15,V16)</f>
        <v>1.004E-06</v>
      </c>
      <c r="AD16" s="82"/>
      <c r="AE16" s="82"/>
      <c r="AF16" s="82"/>
      <c r="AG16" s="82"/>
      <c r="AH16" s="82"/>
      <c r="AI16" s="82"/>
      <c r="AJ16" s="82"/>
    </row>
    <row r="17" spans="1:24" ht="12" customHeight="1">
      <c r="A17" s="28"/>
      <c r="B17" s="28"/>
      <c r="C17" s="70"/>
      <c r="D17" s="70"/>
      <c r="E17" s="70"/>
      <c r="F17" s="70"/>
      <c r="G17" s="70"/>
      <c r="H17" s="70"/>
      <c r="I17" s="70"/>
      <c r="J17" s="70"/>
      <c r="K17" s="70"/>
      <c r="L17" s="71"/>
      <c r="M17" s="71"/>
      <c r="N17" s="71"/>
      <c r="O17" s="71"/>
      <c r="P17" s="71"/>
      <c r="Q17" s="71"/>
      <c r="R17" s="71"/>
      <c r="S17" s="71"/>
      <c r="T17" s="71"/>
      <c r="U17" s="31"/>
      <c r="V17" s="5"/>
      <c r="W17" s="5"/>
      <c r="X17" s="5"/>
    </row>
    <row r="18" spans="1:23" ht="12" customHeight="1">
      <c r="A18" s="28"/>
      <c r="B18" s="28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56"/>
      <c r="V18" s="33" t="s">
        <v>38</v>
      </c>
      <c r="W18" s="35">
        <f>O15*3600/1000*V25</f>
        <v>718.2863999999998</v>
      </c>
    </row>
    <row r="19" spans="1:36" ht="19.5" customHeight="1">
      <c r="A19" s="28"/>
      <c r="B19" s="28"/>
      <c r="C19" s="109" t="str">
        <f>IF(AG14=0,TEXT("  ",1),TEXT("Результат вычислений для трубы марки GALLAPLAST  ",0)&amp;TEXT(Z14,1)&amp;TEXT("   ",1)&amp;AD15&amp;TEXT(" x ",1)&amp;AG14&amp;TEXT(" мм ",1))</f>
        <v>Результат вычислений для трубы марки GALLAPLAST  Fazer  SDR7,4 / S2,5   D20 x 2.8 мм 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56"/>
      <c r="V19" s="34" t="s">
        <v>39</v>
      </c>
      <c r="W19" s="36">
        <f>O15*60/1000*V25</f>
        <v>11.97144</v>
      </c>
      <c r="AJ19" s="89"/>
    </row>
    <row r="20" spans="1:23" ht="19.5" customHeight="1">
      <c r="A20" s="28"/>
      <c r="B20" s="28"/>
      <c r="C20" s="64"/>
      <c r="D20" s="64" t="s">
        <v>68</v>
      </c>
      <c r="E20" s="64"/>
      <c r="F20" s="64"/>
      <c r="G20" s="64"/>
      <c r="H20" s="64"/>
      <c r="I20" s="64">
        <f>AI14</f>
        <v>14.149999999999999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56"/>
      <c r="V20" s="68" t="s">
        <v>40</v>
      </c>
      <c r="W20" s="36">
        <f>O15/1000*V25</f>
        <v>0.19952399999999998</v>
      </c>
    </row>
    <row r="21" spans="1:25" ht="19.5" customHeight="1">
      <c r="A21" s="28"/>
      <c r="B21" s="28"/>
      <c r="C21" s="64"/>
      <c r="D21" s="64" t="str">
        <f>W25</f>
        <v>объемный вес теплоносителя   (кг/м³)</v>
      </c>
      <c r="E21" s="64"/>
      <c r="F21" s="64"/>
      <c r="G21" s="64"/>
      <c r="H21" s="64"/>
      <c r="I21" s="65">
        <f>V25</f>
        <v>997.6199999999999</v>
      </c>
      <c r="J21" s="64"/>
      <c r="K21" s="64"/>
      <c r="L21" s="64"/>
      <c r="M21" s="64"/>
      <c r="N21" s="110" t="str">
        <f>TEXT("Потеря давления в данном трубопроводе длиной  ",1)&amp;E15&amp;TEXT(" м",1)</f>
        <v>Потеря давления в данном трубопроводе длиной  1 м</v>
      </c>
      <c r="O21" s="111"/>
      <c r="P21" s="111"/>
      <c r="Q21" s="111"/>
      <c r="R21" s="111"/>
      <c r="S21" s="112"/>
      <c r="T21" s="64"/>
      <c r="U21" s="56"/>
      <c r="V21" s="68" t="s">
        <v>46</v>
      </c>
      <c r="W21" s="36">
        <f>O15*V25</f>
        <v>199.524</v>
      </c>
      <c r="Y21" t="s">
        <v>55</v>
      </c>
    </row>
    <row r="22" spans="1:24" ht="19.5" customHeight="1">
      <c r="A22" s="28"/>
      <c r="B22" s="28"/>
      <c r="C22" s="64"/>
      <c r="D22" s="64" t="str">
        <f>Y21</f>
        <v>расход теплоносителя  (кг/час)</v>
      </c>
      <c r="E22" s="64"/>
      <c r="F22" s="64"/>
      <c r="G22" s="64"/>
      <c r="H22" s="64"/>
      <c r="I22" s="65">
        <f>W23</f>
        <v>718.2863999999998</v>
      </c>
      <c r="J22" s="64"/>
      <c r="K22" s="64"/>
      <c r="L22" s="64"/>
      <c r="M22" s="64"/>
      <c r="N22" s="58"/>
      <c r="O22" s="93">
        <f>V33*E15</f>
        <v>1603.89761248339</v>
      </c>
      <c r="P22" s="93"/>
      <c r="Q22" s="95" t="s">
        <v>59</v>
      </c>
      <c r="R22" s="59"/>
      <c r="S22" s="60"/>
      <c r="T22" s="64"/>
      <c r="U22" s="56"/>
      <c r="V22" s="69" t="s">
        <v>41</v>
      </c>
      <c r="W22" s="37">
        <f>O15</f>
        <v>0.2</v>
      </c>
      <c r="X22" s="5"/>
    </row>
    <row r="23" spans="1:24" ht="19.5" customHeight="1">
      <c r="A23" s="28"/>
      <c r="B23" s="28"/>
      <c r="C23" s="64"/>
      <c r="D23" s="64" t="str">
        <f>W27</f>
        <v>скорость теплоносителя  (м/сек)</v>
      </c>
      <c r="E23" s="64"/>
      <c r="F23" s="64"/>
      <c r="G23" s="64"/>
      <c r="H23" s="64"/>
      <c r="I23" s="66">
        <f>V27</f>
        <v>1.2724697277463535</v>
      </c>
      <c r="J23" s="64"/>
      <c r="K23" s="64"/>
      <c r="L23" s="64"/>
      <c r="M23" s="64"/>
      <c r="N23" s="61"/>
      <c r="O23" s="94"/>
      <c r="P23" s="94"/>
      <c r="Q23" s="96"/>
      <c r="R23" s="62"/>
      <c r="S23" s="63"/>
      <c r="T23" s="64"/>
      <c r="U23" s="56"/>
      <c r="V23" s="83">
        <v>1</v>
      </c>
      <c r="W23" s="32">
        <f>INDEX(W18:W22,V23)</f>
        <v>718.2863999999998</v>
      </c>
      <c r="X23" s="14" t="s">
        <v>41</v>
      </c>
    </row>
    <row r="24" spans="1:27" ht="19.5" customHeight="1">
      <c r="A24" s="28"/>
      <c r="B24" s="28"/>
      <c r="C24" s="64"/>
      <c r="D24" s="64" t="str">
        <f>W32</f>
        <v>λ - Xаpактеpистика  сопpотивления</v>
      </c>
      <c r="E24" s="64"/>
      <c r="F24" s="64"/>
      <c r="G24" s="64"/>
      <c r="H24" s="64"/>
      <c r="I24" s="67">
        <f>V32</f>
        <v>0.028575849548439818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5"/>
      <c r="W24" s="5"/>
      <c r="X24" s="5"/>
      <c r="Y24" s="31"/>
      <c r="Z24" s="31"/>
      <c r="AA24" s="31"/>
    </row>
    <row r="25" spans="1:27" ht="19.5" customHeight="1">
      <c r="A25" s="28"/>
      <c r="B25" s="28"/>
      <c r="C25" s="64"/>
      <c r="D25" s="64" t="str">
        <f>W33</f>
        <v>Потеpи давления  (Pa/m)</v>
      </c>
      <c r="E25" s="64"/>
      <c r="F25" s="64"/>
      <c r="G25" s="64"/>
      <c r="H25" s="64"/>
      <c r="I25" s="66">
        <f>V33</f>
        <v>1603.89761248339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30">
        <f>1000.3-(0.06*W16)-(0.0037*POWER(W16,2))</f>
        <v>997.6199999999999</v>
      </c>
      <c r="W25" s="5" t="s">
        <v>56</v>
      </c>
      <c r="Y25" s="31"/>
      <c r="Z25" s="31"/>
      <c r="AA25" s="31"/>
    </row>
    <row r="26" spans="1:27" ht="19.5" customHeight="1">
      <c r="A26" s="28"/>
      <c r="B26" s="28"/>
      <c r="C26" s="64"/>
      <c r="D26" s="5"/>
      <c r="E26" s="5"/>
      <c r="F26" s="5"/>
      <c r="G26" s="5"/>
      <c r="H26" s="5"/>
      <c r="I26" s="5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30">
        <f>0.007/1000</f>
        <v>7E-06</v>
      </c>
      <c r="W26" s="5" t="s">
        <v>42</v>
      </c>
      <c r="X26" s="5"/>
      <c r="Y26" s="31"/>
      <c r="Z26" s="31"/>
      <c r="AA26" s="31"/>
    </row>
    <row r="27" spans="1:27" ht="19.5" customHeight="1">
      <c r="A27" s="28"/>
      <c r="B27" s="28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"/>
      <c r="V27" s="84">
        <f>W23/(V25*900*3.14*POWER(AJ14,2))</f>
        <v>1.2724697277463535</v>
      </c>
      <c r="W27" s="42" t="s">
        <v>57</v>
      </c>
      <c r="X27" s="42"/>
      <c r="Y27" s="31"/>
      <c r="Z27" s="31"/>
      <c r="AA27" s="31"/>
    </row>
    <row r="28" spans="1:27" ht="12" customHeight="1">
      <c r="A28" s="28"/>
      <c r="B28" s="28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Y28" s="31"/>
      <c r="Z28" s="31"/>
      <c r="AA28" s="31"/>
    </row>
    <row r="29" spans="1:28" ht="12" customHeight="1">
      <c r="A29" s="28"/>
      <c r="B29" s="28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V29" s="38">
        <f>AJ14*V27/X16</f>
        <v>17933.711800409263</v>
      </c>
      <c r="W29" s="5" t="s">
        <v>43</v>
      </c>
      <c r="Y29" s="31"/>
      <c r="Z29" s="31"/>
      <c r="AA29" s="31"/>
      <c r="AB29" s="85"/>
    </row>
    <row r="30" spans="3:28" ht="15.75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V30">
        <f>(500*AJ14)/V26</f>
        <v>1010714.2857142857</v>
      </c>
      <c r="W30" s="5" t="s">
        <v>44</v>
      </c>
      <c r="Y30" s="31"/>
      <c r="Z30" s="31"/>
      <c r="AA30" s="31"/>
      <c r="AB30" s="85"/>
    </row>
    <row r="31" spans="3:30" ht="15.75"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31"/>
      <c r="R31" s="31"/>
      <c r="S31" s="31"/>
      <c r="T31" s="31"/>
      <c r="V31">
        <f>IF(1+LOG10(V29)/LOG10(V30)&gt;2,2,1+LOG10(V29)/LOG10(V30))</f>
        <v>1.708398571889452</v>
      </c>
      <c r="W31" s="39" t="s">
        <v>45</v>
      </c>
      <c r="Y31" s="31"/>
      <c r="Z31" s="31"/>
      <c r="AA31" s="31"/>
      <c r="AC31" s="86" t="s">
        <v>67</v>
      </c>
      <c r="AD31" s="86"/>
    </row>
    <row r="32" spans="3:30" ht="15.75"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31"/>
      <c r="R32" s="31"/>
      <c r="S32" s="31"/>
      <c r="T32" s="31"/>
      <c r="V32" s="41">
        <f>POWER((1.312*(2-V31)*LOG10(3.7*AJ14/V26)/(LOG10(V29)-1)+V31/2)*0.5/LOG10(3.7*AJ14/V26),2)</f>
        <v>0.028575849548439818</v>
      </c>
      <c r="W32" s="1" t="s">
        <v>58</v>
      </c>
      <c r="Y32" s="31"/>
      <c r="Z32" s="31"/>
      <c r="AA32" s="31"/>
      <c r="AC32" s="87" t="s">
        <v>67</v>
      </c>
      <c r="AD32" s="87"/>
    </row>
    <row r="33" spans="3:30" ht="15.75"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31"/>
      <c r="R33" s="31"/>
      <c r="S33" s="31"/>
      <c r="T33" s="31"/>
      <c r="V33">
        <f>POWER(V27,2)/2*9.81*V32/AJ14*100</f>
        <v>1603.89761248339</v>
      </c>
      <c r="W33" s="5" t="s">
        <v>69</v>
      </c>
      <c r="Y33" s="31"/>
      <c r="Z33" s="31"/>
      <c r="AA33" s="31"/>
      <c r="AC33" s="87" t="s">
        <v>67</v>
      </c>
      <c r="AD33" s="87"/>
    </row>
    <row r="34" spans="3:29" ht="15.75"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31"/>
      <c r="R34" s="31"/>
      <c r="S34" s="31"/>
      <c r="T34" s="31"/>
      <c r="V34">
        <f>0.25*PI()*POWER(AJ14,2)</f>
        <v>0.00015725438377084557</v>
      </c>
      <c r="W34" s="5" t="s">
        <v>66</v>
      </c>
      <c r="Y34" s="31"/>
      <c r="Z34" s="31"/>
      <c r="AA34" s="31"/>
      <c r="AB34" s="87"/>
      <c r="AC34" s="87"/>
    </row>
    <row r="35" spans="3:30" ht="15.75"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31"/>
      <c r="R35" s="31"/>
      <c r="S35" s="31"/>
      <c r="T35" s="31"/>
      <c r="AC35" s="86"/>
      <c r="AD35" s="86"/>
    </row>
    <row r="36" spans="3:30" ht="15.75"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31"/>
      <c r="R36" s="31"/>
      <c r="S36" s="31"/>
      <c r="T36" s="31"/>
      <c r="AC36" s="88"/>
      <c r="AD36" s="88"/>
    </row>
    <row r="37" spans="3:30" ht="15.7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Y37" s="40"/>
      <c r="AC37" s="88"/>
      <c r="AD37" s="88"/>
    </row>
    <row r="38" spans="3:28" ht="15.75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AB38" s="89"/>
    </row>
    <row r="39" spans="3:30" ht="15.75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AC39" s="88"/>
      <c r="AD39" s="86"/>
    </row>
    <row r="40" spans="3:29" ht="15.75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Z40" s="92"/>
      <c r="AC40" s="86"/>
    </row>
    <row r="41" spans="3:30" ht="15.7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AC41" s="88"/>
      <c r="AD41" s="86"/>
    </row>
    <row r="42" spans="3:30" ht="15.75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AC42" s="86"/>
      <c r="AD42" s="86"/>
    </row>
    <row r="43" spans="3:30" ht="15.75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AC43" s="88"/>
      <c r="AD43" s="88"/>
    </row>
    <row r="44" spans="3:28" ht="15.7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AB44" s="39"/>
    </row>
    <row r="45" spans="3:30" ht="15.7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AB45" s="39"/>
      <c r="AC45" s="90"/>
      <c r="AD45" s="90"/>
    </row>
    <row r="46" spans="3:28" ht="1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AB46" s="91"/>
    </row>
    <row r="47" spans="3:20" ht="1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</row>
    <row r="48" spans="3:20" ht="1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</row>
    <row r="49" spans="3:20" ht="15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</row>
    <row r="50" spans="3:20" ht="15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</row>
    <row r="51" spans="3:20" ht="1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</row>
    <row r="52" spans="3:20" ht="15"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</row>
    <row r="53" spans="3:20" ht="15"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  <row r="54" spans="3:20" ht="15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</row>
    <row r="55" spans="3:20" ht="15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</row>
  </sheetData>
  <sheetProtection password="C527" sheet="1" selectLockedCells="1"/>
  <mergeCells count="9">
    <mergeCell ref="O22:P23"/>
    <mergeCell ref="Q22:Q23"/>
    <mergeCell ref="G2:T4"/>
    <mergeCell ref="V2:X2"/>
    <mergeCell ref="O15:O16"/>
    <mergeCell ref="E15:G16"/>
    <mergeCell ref="C19:T19"/>
    <mergeCell ref="N21:S21"/>
    <mergeCell ref="H5:S5"/>
  </mergeCells>
  <hyperlinks>
    <hyperlink ref="H5" r:id="rId1" display="WWW.GALLAPLAST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Sergejs musesovs</dc:creator>
  <cp:keywords/>
  <dc:description/>
  <cp:lastModifiedBy>Sergejs musesovs</cp:lastModifiedBy>
  <cp:lastPrinted>2012-08-08T12:37:27Z</cp:lastPrinted>
  <dcterms:created xsi:type="dcterms:W3CDTF">2009-10-14T15:38:43Z</dcterms:created>
  <dcterms:modified xsi:type="dcterms:W3CDTF">2014-10-27T13:02:30Z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